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agdalena.chomuszko\Desktop\"/>
    </mc:Choice>
  </mc:AlternateContent>
  <bookViews>
    <workbookView xWindow="0" yWindow="0" windowWidth="19200" windowHeight="6940" xr2:uid="{00000000-000D-0000-FFFF-FFFF00000000}"/>
  </bookViews>
  <sheets>
    <sheet name="wynagrodzenie" sheetId="1" r:id="rId1"/>
    <sheet name="podstawy do wynagrodzenia" sheetId="2" r:id="rId2"/>
  </sheets>
  <definedNames>
    <definedName name="procent">wynagrodzenie!$Z$2:$Z$3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B19" i="1"/>
  <c r="A25" i="1"/>
  <c r="M17" i="1" l="1"/>
  <c r="E17" i="1"/>
  <c r="D17" i="1"/>
  <c r="C17" i="1"/>
  <c r="G8" i="1"/>
  <c r="H5" i="1"/>
  <c r="B3" i="2"/>
  <c r="A3" i="2" s="1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3" i="2"/>
  <c r="E3" i="2" s="1"/>
  <c r="E15" i="2" l="1"/>
  <c r="G6" i="1" s="1"/>
  <c r="G7" i="1" s="1"/>
  <c r="B17" i="1" s="1"/>
  <c r="A26" i="1"/>
  <c r="B26" i="1"/>
  <c r="C26" i="1"/>
  <c r="D26" i="1"/>
  <c r="E26" i="1"/>
  <c r="C18" i="1"/>
  <c r="D18" i="1"/>
  <c r="E18" i="1"/>
  <c r="H18" i="1"/>
  <c r="J18" i="1"/>
  <c r="K18" i="1"/>
  <c r="E25" i="1"/>
  <c r="D25" i="1"/>
  <c r="C25" i="1"/>
  <c r="B25" i="1"/>
  <c r="A19" i="1"/>
  <c r="D24" i="1" s="1"/>
  <c r="J17" i="1"/>
  <c r="D19" i="1" l="1"/>
  <c r="H17" i="1"/>
  <c r="H19" i="1" s="1"/>
  <c r="C19" i="1"/>
  <c r="E19" i="1"/>
  <c r="F26" i="1"/>
  <c r="F25" i="1"/>
  <c r="F18" i="1"/>
  <c r="L18" i="1" s="1"/>
  <c r="J19" i="1"/>
  <c r="C24" i="1"/>
  <c r="E24" i="1"/>
  <c r="B24" i="1"/>
  <c r="F17" i="1" l="1"/>
  <c r="G17" i="1" s="1"/>
  <c r="G19" i="1" s="1"/>
  <c r="M18" i="1"/>
  <c r="I18" i="1"/>
  <c r="G18" i="1"/>
  <c r="F24" i="1"/>
  <c r="F19" i="1" l="1"/>
  <c r="I17" i="1"/>
  <c r="K17" i="1" s="1"/>
  <c r="L17" i="1" s="1"/>
  <c r="I19" i="1" l="1"/>
  <c r="K19" i="1"/>
  <c r="L19" i="1"/>
  <c r="M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agdalena.chomuszko\AppData\Roaming\Sage\DataSources\sage_fk_cube_connection.odc" keepAlive="1" name="FK-BI_ERP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xr16:uid="{00000000-0015-0000-FFFF-FFFF01000000}" odcFile="C:\Users\magdalena.chomuszko\AppData\Roaming\Sage\DataSources\sage_hm_cube_connection.odc" keepAlive="1" name="HM-BI_ERP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<sst xmlns="http://schemas.openxmlformats.org/spreadsheetml/2006/main" count="46" uniqueCount="38">
  <si>
    <t>ub. emerytalne</t>
  </si>
  <si>
    <t>ub. rentowe Ubezpieczony</t>
  </si>
  <si>
    <t>ub. rentowe Płatnik</t>
  </si>
  <si>
    <t>ub. chorobowe</t>
  </si>
  <si>
    <t>skł. zdrowotna naliczona</t>
  </si>
  <si>
    <t>skł. zdrowotna odliczona</t>
  </si>
  <si>
    <t>koszty zryczałtowane</t>
  </si>
  <si>
    <t>ulga</t>
  </si>
  <si>
    <t>podatek</t>
  </si>
  <si>
    <t>ub. wypadkowe</t>
  </si>
  <si>
    <t>FP</t>
  </si>
  <si>
    <t>FGŚP</t>
  </si>
  <si>
    <t>wynagrodzenie brutto</t>
  </si>
  <si>
    <t>emerytalne</t>
  </si>
  <si>
    <t>rentowe</t>
  </si>
  <si>
    <t>chorobowe</t>
  </si>
  <si>
    <t>podstawa zdrowotnego</t>
  </si>
  <si>
    <t>składka zdrowotna</t>
  </si>
  <si>
    <t>podstawa opodatkowania</t>
  </si>
  <si>
    <t>zaliczka</t>
  </si>
  <si>
    <t>wynagrodzenie netto</t>
  </si>
  <si>
    <t>Pracodawca</t>
  </si>
  <si>
    <t>wypadkowe</t>
  </si>
  <si>
    <t>razem</t>
  </si>
  <si>
    <t>Lista Płac</t>
  </si>
  <si>
    <t>Parametry wynagrodzenia</t>
  </si>
  <si>
    <t>procent wynagrodzenia</t>
  </si>
  <si>
    <t>liczba dni choroby</t>
  </si>
  <si>
    <t>data początkowa choroby</t>
  </si>
  <si>
    <t>miesiąc</t>
  </si>
  <si>
    <t>kwota brutto</t>
  </si>
  <si>
    <t>kwota składek ub. społecznego</t>
  </si>
  <si>
    <t>podstawa</t>
  </si>
  <si>
    <t>lp</t>
  </si>
  <si>
    <t>dniówka</t>
  </si>
  <si>
    <t>wynagrodzenie chorobowe</t>
  </si>
  <si>
    <t>potrącenie za chorobę</t>
  </si>
  <si>
    <t>parametry i wyliczenia chorobowego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</si>
</sst>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yyyy\-mm\-dd;@"/>
    <numFmt numFmtId="165" formatCode="#,##0.00\ _z_ł"/>
    <numFmt numFmtId="166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10" fontId="0" fillId="0" borderId="3" xfId="0" applyNumberFormat="1" applyBorder="1" applyProtection="1">
      <protection locked="0" hidden="1"/>
    </xf>
    <xf numFmtId="39" fontId="0" fillId="0" borderId="3" xfId="0" applyNumberFormat="1" applyBorder="1" applyAlignment="1" applyProtection="1">
      <protection locked="0" hidden="1"/>
    </xf>
    <xf numFmtId="10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43" fontId="0" fillId="0" borderId="9" xfId="0" applyNumberFormat="1" applyBorder="1" applyProtection="1">
      <protection locked="0" hidden="1"/>
    </xf>
    <xf numFmtId="43" fontId="0" fillId="0" borderId="9" xfId="0" applyNumberFormat="1" applyBorder="1" applyProtection="1">
      <protection hidden="1"/>
    </xf>
    <xf numFmtId="41" fontId="0" fillId="0" borderId="9" xfId="0" applyNumberFormat="1" applyBorder="1" applyProtection="1">
      <protection hidden="1"/>
    </xf>
    <xf numFmtId="43" fontId="0" fillId="0" borderId="10" xfId="0" applyNumberFormat="1" applyBorder="1" applyProtection="1">
      <protection locked="0" hidden="1"/>
    </xf>
    <xf numFmtId="43" fontId="1" fillId="0" borderId="7" xfId="0" applyNumberFormat="1" applyFont="1" applyBorder="1" applyProtection="1">
      <protection hidden="1"/>
    </xf>
    <xf numFmtId="41" fontId="1" fillId="0" borderId="7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43" fontId="1" fillId="0" borderId="0" xfId="0" applyNumberFormat="1" applyFont="1" applyBorder="1" applyProtection="1">
      <protection hidden="1"/>
    </xf>
    <xf numFmtId="0" fontId="1" fillId="4" borderId="3" xfId="0" applyFont="1" applyFill="1" applyBorder="1" applyProtection="1"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43" fontId="0" fillId="0" borderId="0" xfId="0" applyNumberFormat="1" applyProtection="1">
      <protection hidden="1"/>
    </xf>
    <xf numFmtId="43" fontId="1" fillId="0" borderId="9" xfId="0" applyNumberFormat="1" applyFont="1" applyBorder="1" applyProtection="1">
      <protection hidden="1"/>
    </xf>
    <xf numFmtId="43" fontId="0" fillId="0" borderId="3" xfId="0" applyNumberFormat="1" applyBorder="1" applyProtection="1">
      <protection hidden="1"/>
    </xf>
    <xf numFmtId="1" fontId="0" fillId="0" borderId="3" xfId="0" applyNumberFormat="1" applyBorder="1" applyProtection="1">
      <protection locked="0" hidden="1"/>
    </xf>
    <xf numFmtId="166" fontId="0" fillId="0" borderId="3" xfId="0" applyNumberFormat="1" applyBorder="1" applyProtection="1">
      <protection hidden="1"/>
    </xf>
    <xf numFmtId="0" fontId="0" fillId="3" borderId="14" xfId="0" applyFill="1" applyBorder="1" applyAlignment="1" applyProtection="1">
      <alignment horizontal="center" vertical="center" wrapText="1"/>
      <protection hidden="1"/>
    </xf>
    <xf numFmtId="164" fontId="3" fillId="0" borderId="3" xfId="0" applyNumberFormat="1" applyFont="1" applyBorder="1" applyAlignment="1" applyProtection="1">
      <alignment horizontal="center"/>
      <protection hidden="1"/>
    </xf>
    <xf numFmtId="166" fontId="4" fillId="0" borderId="3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39" fontId="1" fillId="6" borderId="5" xfId="0" applyNumberFormat="1" applyFont="1" applyFill="1" applyBorder="1"/>
    <xf numFmtId="0" fontId="0" fillId="0" borderId="3" xfId="0" applyBorder="1"/>
    <xf numFmtId="165" fontId="0" fillId="0" borderId="3" xfId="0" applyNumberFormat="1" applyBorder="1"/>
    <xf numFmtId="39" fontId="0" fillId="0" borderId="3" xfId="0" applyNumberFormat="1" applyBorder="1"/>
    <xf numFmtId="0" fontId="2" fillId="5" borderId="11" xfId="0" applyFont="1" applyFill="1" applyBorder="1" applyAlignment="1" applyProtection="1">
      <alignment horizontal="center"/>
      <protection hidden="1"/>
    </xf>
    <xf numFmtId="0" fontId="2" fillId="5" borderId="12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showGridLines="0" tabSelected="1" workbookViewId="0">
      <selection activeCell="B25" sqref="B25"/>
    </sheetView>
  </sheetViews>
  <sheetFormatPr defaultColWidth="8.90625" defaultRowHeight="14.5" x14ac:dyDescent="0.35"/>
  <cols>
    <col min="1" max="1" width="15.81640625" style="1" customWidth="1"/>
    <col min="2" max="2" width="22.90625" style="1" bestFit="1" customWidth="1"/>
    <col min="3" max="3" width="10.36328125" style="1" customWidth="1"/>
    <col min="4" max="4" width="11.08984375" style="1" bestFit="1" customWidth="1"/>
    <col min="5" max="5" width="13.6328125" style="1" customWidth="1"/>
    <col min="6" max="6" width="23.6328125" style="1" bestFit="1" customWidth="1"/>
    <col min="7" max="7" width="14.6328125" style="1" bestFit="1" customWidth="1"/>
    <col min="8" max="8" width="16.54296875" style="1" bestFit="1" customWidth="1"/>
    <col min="9" max="9" width="10.90625" style="1" bestFit="1" customWidth="1"/>
    <col min="10" max="10" width="11.08984375" style="1" bestFit="1" customWidth="1"/>
    <col min="11" max="11" width="10.90625" style="1" bestFit="1" customWidth="1"/>
    <col min="12" max="12" width="14.6328125" style="1" bestFit="1" customWidth="1"/>
    <col min="13" max="13" width="13.453125" style="1" customWidth="1"/>
    <col min="14" max="16384" width="8.90625" style="1"/>
  </cols>
  <sheetData>
    <row r="1" spans="1:26" ht="16" thickBot="1" x14ac:dyDescent="0.4">
      <c r="A1" s="36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26" ht="15" thickBot="1" x14ac:dyDescent="0.4">
      <c r="Z2" s="6">
        <v>0.8</v>
      </c>
    </row>
    <row r="3" spans="1:26" ht="14.5" customHeight="1" x14ac:dyDescent="0.35">
      <c r="A3" s="39" t="s">
        <v>25</v>
      </c>
      <c r="B3" s="2" t="s">
        <v>0</v>
      </c>
      <c r="C3" s="3">
        <v>9.7600000000000006E-2</v>
      </c>
      <c r="E3" s="39" t="s">
        <v>37</v>
      </c>
      <c r="F3" s="2" t="s">
        <v>26</v>
      </c>
      <c r="G3" s="3">
        <v>0.8</v>
      </c>
      <c r="Z3" s="6">
        <v>1</v>
      </c>
    </row>
    <row r="4" spans="1:26" ht="15" customHeight="1" x14ac:dyDescent="0.35">
      <c r="A4" s="40"/>
      <c r="B4" s="2" t="s">
        <v>1</v>
      </c>
      <c r="C4" s="3">
        <v>1.4999999999999999E-2</v>
      </c>
      <c r="E4" s="40"/>
      <c r="F4" s="2" t="s">
        <v>27</v>
      </c>
      <c r="G4" s="23">
        <v>4</v>
      </c>
    </row>
    <row r="5" spans="1:26" ht="15" customHeight="1" x14ac:dyDescent="0.35">
      <c r="A5" s="40"/>
      <c r="B5" s="2" t="s">
        <v>2</v>
      </c>
      <c r="C5" s="3">
        <v>6.5000000000000002E-2</v>
      </c>
      <c r="E5" s="40"/>
      <c r="F5" s="2" t="s">
        <v>28</v>
      </c>
      <c r="G5" s="26">
        <v>42939</v>
      </c>
      <c r="H5" s="28" t="str">
        <f>IF(G5="","","sprawdź podstawy")</f>
        <v>sprawdź podstawy</v>
      </c>
    </row>
    <row r="6" spans="1:26" ht="15" customHeight="1" x14ac:dyDescent="0.35">
      <c r="A6" s="40"/>
      <c r="B6" s="2" t="s">
        <v>3</v>
      </c>
      <c r="C6" s="3">
        <v>2.4500000000000001E-2</v>
      </c>
      <c r="E6" s="40"/>
      <c r="F6" s="2" t="s">
        <v>34</v>
      </c>
      <c r="G6" s="27">
        <f>IF(G5="","Wprowadź datę",'podstawy do wynagrodzenia'!E15/(30*12)*G3)</f>
        <v>172.58</v>
      </c>
    </row>
    <row r="7" spans="1:26" ht="15" customHeight="1" x14ac:dyDescent="0.35">
      <c r="A7" s="40"/>
      <c r="B7" s="2" t="s">
        <v>4</v>
      </c>
      <c r="C7" s="3">
        <v>0.09</v>
      </c>
      <c r="E7" s="40"/>
      <c r="F7" s="2" t="s">
        <v>35</v>
      </c>
      <c r="G7" s="24">
        <f>IFERROR(G6*G4,"")</f>
        <v>690.32</v>
      </c>
    </row>
    <row r="8" spans="1:26" ht="15" thickBot="1" x14ac:dyDescent="0.4">
      <c r="A8" s="40"/>
      <c r="B8" s="2" t="s">
        <v>5</v>
      </c>
      <c r="C8" s="3">
        <v>7.7499999999999999E-2</v>
      </c>
      <c r="E8" s="41"/>
      <c r="F8" s="2" t="s">
        <v>36</v>
      </c>
      <c r="G8" s="24">
        <f>(A17/30)*G4</f>
        <v>933.33333333333337</v>
      </c>
    </row>
    <row r="9" spans="1:26" x14ac:dyDescent="0.35">
      <c r="A9" s="40"/>
      <c r="B9" s="2" t="s">
        <v>6</v>
      </c>
      <c r="C9" s="4">
        <v>111.25</v>
      </c>
    </row>
    <row r="10" spans="1:26" x14ac:dyDescent="0.35">
      <c r="A10" s="40"/>
      <c r="B10" s="2" t="s">
        <v>7</v>
      </c>
      <c r="C10" s="4">
        <v>46.33</v>
      </c>
    </row>
    <row r="11" spans="1:26" x14ac:dyDescent="0.35">
      <c r="A11" s="40"/>
      <c r="B11" s="2" t="s">
        <v>8</v>
      </c>
      <c r="C11" s="3">
        <v>0.18</v>
      </c>
    </row>
    <row r="12" spans="1:26" x14ac:dyDescent="0.35">
      <c r="A12" s="40"/>
      <c r="B12" s="2" t="s">
        <v>9</v>
      </c>
      <c r="C12" s="3">
        <v>1.7999999999999999E-2</v>
      </c>
    </row>
    <row r="13" spans="1:26" x14ac:dyDescent="0.35">
      <c r="A13" s="40"/>
      <c r="B13" s="2" t="s">
        <v>10</v>
      </c>
      <c r="C13" s="3">
        <v>2.4500000000000001E-2</v>
      </c>
    </row>
    <row r="14" spans="1:26" ht="15" thickBot="1" x14ac:dyDescent="0.4">
      <c r="A14" s="41"/>
      <c r="B14" s="2" t="s">
        <v>11</v>
      </c>
      <c r="C14" s="3">
        <v>1E-3</v>
      </c>
    </row>
    <row r="15" spans="1:26" ht="15" thickBot="1" x14ac:dyDescent="0.4">
      <c r="D15" s="5"/>
      <c r="E15" s="5"/>
      <c r="G15" s="6"/>
      <c r="K15" s="6"/>
    </row>
    <row r="16" spans="1:26" ht="44" thickBot="1" x14ac:dyDescent="0.4">
      <c r="A16" s="7" t="s">
        <v>12</v>
      </c>
      <c r="B16" s="25" t="s">
        <v>30</v>
      </c>
      <c r="C16" s="8" t="s">
        <v>13</v>
      </c>
      <c r="D16" s="8" t="s">
        <v>14</v>
      </c>
      <c r="E16" s="8" t="s">
        <v>15</v>
      </c>
      <c r="F16" s="8" t="s">
        <v>16</v>
      </c>
      <c r="G16" s="8" t="s">
        <v>17</v>
      </c>
      <c r="H16" s="8" t="s">
        <v>6</v>
      </c>
      <c r="I16" s="8" t="s">
        <v>18</v>
      </c>
      <c r="J16" s="8" t="s">
        <v>7</v>
      </c>
      <c r="K16" s="8" t="s">
        <v>8</v>
      </c>
      <c r="L16" s="8" t="s">
        <v>19</v>
      </c>
      <c r="M16" s="9" t="s">
        <v>20</v>
      </c>
    </row>
    <row r="17" spans="1:13" x14ac:dyDescent="0.35">
      <c r="A17" s="10">
        <v>7000</v>
      </c>
      <c r="B17" s="10">
        <f>IFERROR((A17-G8+G7),"")</f>
        <v>6756.9866666666667</v>
      </c>
      <c r="C17" s="11">
        <f>IFERROR(((B17-G7)*$C$3),"")</f>
        <v>592.10666666666668</v>
      </c>
      <c r="D17" s="11">
        <f>IFERROR(((B17-G7)*$C$4),"")</f>
        <v>91</v>
      </c>
      <c r="E17" s="11">
        <f>IFERROR(((B17-G7)*$C$6),"")</f>
        <v>148.63333333333335</v>
      </c>
      <c r="F17" s="11">
        <f>B17-C17-D17-E17</f>
        <v>5925.2466666666669</v>
      </c>
      <c r="G17" s="11">
        <f>F17*$C$7</f>
        <v>533.2722</v>
      </c>
      <c r="H17" s="11">
        <f>IF(B17&lt;&gt;"",$C$9,"")</f>
        <v>111.25</v>
      </c>
      <c r="I17" s="11">
        <f>IFERROR(F17-H17,"")</f>
        <v>5813.9966666666669</v>
      </c>
      <c r="J17" s="11">
        <f>IF(A17&lt;&gt;"",$C$10,"")</f>
        <v>46.33</v>
      </c>
      <c r="K17" s="11">
        <f>IF(A17="","",I17*$C$11-J17)</f>
        <v>1000.1893999999999</v>
      </c>
      <c r="L17" s="12">
        <f>IFERROR(ROUND(K17-(F17*$C$8),0),"")</f>
        <v>541</v>
      </c>
      <c r="M17" s="11">
        <f>IF(A17="","",B17-C17-D17-E17-G17-L17)</f>
        <v>4850.9744666666666</v>
      </c>
    </row>
    <row r="18" spans="1:13" ht="15" thickBot="1" x14ac:dyDescent="0.4">
      <c r="A18" s="13"/>
      <c r="B18" s="13"/>
      <c r="C18" s="11">
        <f>A18*$C$3</f>
        <v>0</v>
      </c>
      <c r="D18" s="11">
        <f>A18*$C$4</f>
        <v>0</v>
      </c>
      <c r="E18" s="11">
        <f>A18*$C$6</f>
        <v>0</v>
      </c>
      <c r="F18" s="11">
        <f>A18-C18-D18-E18</f>
        <v>0</v>
      </c>
      <c r="G18" s="11">
        <f t="shared" ref="G18" si="0">F18*$C$7</f>
        <v>0</v>
      </c>
      <c r="H18" s="11" t="str">
        <f>IF(A18&lt;&gt;"",$C$9,"")</f>
        <v/>
      </c>
      <c r="I18" s="11" t="str">
        <f t="shared" ref="I18" si="1">IFERROR(F18-H18,"")</f>
        <v/>
      </c>
      <c r="J18" s="11" t="str">
        <f>IF(A18&lt;&gt;"",$C$10,"")</f>
        <v/>
      </c>
      <c r="K18" s="11" t="str">
        <f>IF(A18="","",I18*$C$11-J18)</f>
        <v/>
      </c>
      <c r="L18" s="12" t="str">
        <f t="shared" ref="L18" si="2">IFERROR(ROUND(K18-(F18*$C$8),0),"")</f>
        <v/>
      </c>
      <c r="M18" s="11" t="str">
        <f>IF(F18=0,"",A18-C18-D18-E18-G18-L18)</f>
        <v/>
      </c>
    </row>
    <row r="19" spans="1:13" ht="15" thickBot="1" x14ac:dyDescent="0.4">
      <c r="A19" s="14">
        <f>SUM(A17:A18)</f>
        <v>7000</v>
      </c>
      <c r="B19" s="14">
        <f>SUM(B17:B18)</f>
        <v>6756.9866666666667</v>
      </c>
      <c r="C19" s="14">
        <f t="shared" ref="C19:M19" si="3">SUM(C17:C18)</f>
        <v>592.10666666666668</v>
      </c>
      <c r="D19" s="14">
        <f t="shared" si="3"/>
        <v>91</v>
      </c>
      <c r="E19" s="14">
        <f t="shared" si="3"/>
        <v>148.63333333333335</v>
      </c>
      <c r="F19" s="14">
        <f t="shared" si="3"/>
        <v>5925.2466666666669</v>
      </c>
      <c r="G19" s="14">
        <f t="shared" si="3"/>
        <v>533.2722</v>
      </c>
      <c r="H19" s="14">
        <f t="shared" si="3"/>
        <v>111.25</v>
      </c>
      <c r="I19" s="14">
        <f t="shared" si="3"/>
        <v>5813.9966666666669</v>
      </c>
      <c r="J19" s="14">
        <f t="shared" si="3"/>
        <v>46.33</v>
      </c>
      <c r="K19" s="14">
        <f t="shared" si="3"/>
        <v>1000.1893999999999</v>
      </c>
      <c r="L19" s="15">
        <f t="shared" si="3"/>
        <v>541</v>
      </c>
      <c r="M19" s="14">
        <f t="shared" si="3"/>
        <v>4850.9744666666666</v>
      </c>
    </row>
    <row r="20" spans="1:13" x14ac:dyDescent="0.3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3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15" thickBot="1" x14ac:dyDescent="0.4">
      <c r="A22" s="18" t="s">
        <v>21</v>
      </c>
      <c r="C22" s="5"/>
      <c r="D22" s="5"/>
      <c r="E22" s="5"/>
      <c r="F22" s="5"/>
      <c r="G22" s="5"/>
    </row>
    <row r="23" spans="1:13" ht="29.5" thickBot="1" x14ac:dyDescent="0.4">
      <c r="A23" s="7" t="s">
        <v>13</v>
      </c>
      <c r="B23" s="7" t="s">
        <v>14</v>
      </c>
      <c r="C23" s="8" t="s">
        <v>22</v>
      </c>
      <c r="D23" s="8" t="s">
        <v>10</v>
      </c>
      <c r="E23" s="8" t="s">
        <v>11</v>
      </c>
      <c r="F23" s="19" t="s">
        <v>23</v>
      </c>
      <c r="L23" s="20"/>
    </row>
    <row r="24" spans="1:13" x14ac:dyDescent="0.35">
      <c r="A24" s="21">
        <f>(B17-G7)*$C$3</f>
        <v>592.10666666666668</v>
      </c>
      <c r="B24" s="21">
        <f>A19*C5</f>
        <v>455</v>
      </c>
      <c r="C24" s="21">
        <f>A19*C12</f>
        <v>125.99999999999999</v>
      </c>
      <c r="D24" s="21">
        <f>A19*C13</f>
        <v>171.5</v>
      </c>
      <c r="E24" s="21">
        <f>A19*C14</f>
        <v>7</v>
      </c>
      <c r="F24" s="21">
        <f>A24+B24+C24+D24+E24</f>
        <v>1351.6066666666666</v>
      </c>
    </row>
    <row r="25" spans="1:13" x14ac:dyDescent="0.35">
      <c r="A25" s="22">
        <f>(B17-G7)*$C$3</f>
        <v>592.10666666666668</v>
      </c>
      <c r="B25" s="22">
        <f>A17*$C$5</f>
        <v>455</v>
      </c>
      <c r="C25" s="22">
        <f>A17*$C$12</f>
        <v>125.99999999999999</v>
      </c>
      <c r="D25" s="22">
        <f>A17*$C$13</f>
        <v>171.5</v>
      </c>
      <c r="E25" s="22">
        <f>A17*$C$14</f>
        <v>7</v>
      </c>
      <c r="F25" s="22">
        <f>SUM(A25:E25)</f>
        <v>1351.6066666666666</v>
      </c>
    </row>
    <row r="26" spans="1:13" x14ac:dyDescent="0.35">
      <c r="A26" s="22">
        <f>A18*$C$3</f>
        <v>0</v>
      </c>
      <c r="B26" s="22">
        <f>A18*$C$5</f>
        <v>0</v>
      </c>
      <c r="C26" s="22">
        <f>A18*$C$12</f>
        <v>0</v>
      </c>
      <c r="D26" s="22">
        <f>A18*$C$13</f>
        <v>0</v>
      </c>
      <c r="E26" s="22">
        <f>A18*$C$14</f>
        <v>0</v>
      </c>
      <c r="F26" s="22">
        <f t="shared" ref="F26" si="4">SUM(A26:E26)</f>
        <v>0</v>
      </c>
    </row>
  </sheetData>
  <mergeCells count="3">
    <mergeCell ref="A1:M1"/>
    <mergeCell ref="A3:A14"/>
    <mergeCell ref="E3:E8"/>
  </mergeCells>
  <dataValidations count="1">
    <dataValidation type="list" allowBlank="1" showInputMessage="1" showErrorMessage="1" sqref="G3" xr:uid="{4D49A7B0-A22F-4DDD-A48A-09A9759B3097}">
      <formula1>procent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4A182-78C0-4C1F-AEDC-D4002A57C650}">
  <dimension ref="A1:E15"/>
  <sheetViews>
    <sheetView showGridLines="0" workbookViewId="0">
      <selection activeCell="H6" sqref="H6"/>
    </sheetView>
  </sheetViews>
  <sheetFormatPr defaultRowHeight="14.5" x14ac:dyDescent="0.35"/>
  <cols>
    <col min="1" max="1" width="2.81640625" bestFit="1" customWidth="1"/>
    <col min="2" max="2" width="7" bestFit="1" customWidth="1"/>
    <col min="3" max="3" width="11.6328125" bestFit="1" customWidth="1"/>
    <col min="4" max="4" width="15.81640625" bestFit="1" customWidth="1"/>
    <col min="5" max="5" width="10.7265625" bestFit="1" customWidth="1"/>
  </cols>
  <sheetData>
    <row r="1" spans="1:5" ht="15" thickBot="1" x14ac:dyDescent="0.4"/>
    <row r="2" spans="1:5" ht="29" x14ac:dyDescent="0.35">
      <c r="A2" s="29" t="s">
        <v>33</v>
      </c>
      <c r="B2" s="30" t="s">
        <v>29</v>
      </c>
      <c r="C2" s="30" t="s">
        <v>30</v>
      </c>
      <c r="D2" s="30" t="s">
        <v>31</v>
      </c>
      <c r="E2" s="31" t="s">
        <v>32</v>
      </c>
    </row>
    <row r="3" spans="1:5" x14ac:dyDescent="0.35">
      <c r="A3" s="33">
        <f>IF(B3&lt;&gt;"",1,"")</f>
        <v>1</v>
      </c>
      <c r="B3" s="33">
        <f>IF(wynagrodzenie!G5&lt;&gt;"",IF((MONTH(wynagrodzenie!G5)-1)=0,12,(MONTH(wynagrodzenie!G5)-1)),"")</f>
        <v>6</v>
      </c>
      <c r="C3" s="34">
        <v>7500</v>
      </c>
      <c r="D3" s="35">
        <f>IF(C3="","",C3*13.71%)</f>
        <v>1028.25</v>
      </c>
      <c r="E3" s="35">
        <f>IFERROR((C3-D3),"")</f>
        <v>6471.75</v>
      </c>
    </row>
    <row r="4" spans="1:5" x14ac:dyDescent="0.35">
      <c r="A4" s="33">
        <f>IFERROR((A3+1),"")</f>
        <v>2</v>
      </c>
      <c r="B4" s="33">
        <f>IFERROR(IF((B3-1)=0,12,(B3-1)),"")</f>
        <v>5</v>
      </c>
      <c r="C4" s="34">
        <v>7500</v>
      </c>
      <c r="D4" s="35">
        <f t="shared" ref="D4:D14" si="0">IF(C4="","",C4*13.71%)</f>
        <v>1028.25</v>
      </c>
      <c r="E4" s="35">
        <f t="shared" ref="E4:E14" si="1">IFERROR((C4-D4),"")</f>
        <v>6471.75</v>
      </c>
    </row>
    <row r="5" spans="1:5" x14ac:dyDescent="0.35">
      <c r="A5" s="33">
        <f>IFERROR((A4+1),"")</f>
        <v>3</v>
      </c>
      <c r="B5" s="33">
        <f>IFERROR(IF((B4-1)=0,12,(B4-1)),"")</f>
        <v>4</v>
      </c>
      <c r="C5" s="34">
        <v>7500</v>
      </c>
      <c r="D5" s="35">
        <f t="shared" si="0"/>
        <v>1028.25</v>
      </c>
      <c r="E5" s="35">
        <f t="shared" si="1"/>
        <v>6471.75</v>
      </c>
    </row>
    <row r="6" spans="1:5" x14ac:dyDescent="0.35">
      <c r="A6" s="33">
        <f t="shared" ref="A6:A14" si="2">IFERROR((A5+1),"")</f>
        <v>4</v>
      </c>
      <c r="B6" s="33">
        <f t="shared" ref="B6:B14" si="3">IFERROR(IF((B5-1)=0,12,(B5-1)),"")</f>
        <v>3</v>
      </c>
      <c r="C6" s="34">
        <v>7500</v>
      </c>
      <c r="D6" s="35">
        <f t="shared" si="0"/>
        <v>1028.25</v>
      </c>
      <c r="E6" s="35">
        <f t="shared" si="1"/>
        <v>6471.75</v>
      </c>
    </row>
    <row r="7" spans="1:5" x14ac:dyDescent="0.35">
      <c r="A7" s="33">
        <f t="shared" si="2"/>
        <v>5</v>
      </c>
      <c r="B7" s="33">
        <f t="shared" si="3"/>
        <v>2</v>
      </c>
      <c r="C7" s="34">
        <v>7500</v>
      </c>
      <c r="D7" s="35">
        <f t="shared" si="0"/>
        <v>1028.25</v>
      </c>
      <c r="E7" s="35">
        <f t="shared" si="1"/>
        <v>6471.75</v>
      </c>
    </row>
    <row r="8" spans="1:5" x14ac:dyDescent="0.35">
      <c r="A8" s="33">
        <f t="shared" si="2"/>
        <v>6</v>
      </c>
      <c r="B8" s="33">
        <f t="shared" si="3"/>
        <v>1</v>
      </c>
      <c r="C8" s="34">
        <v>7500</v>
      </c>
      <c r="D8" s="35">
        <f t="shared" si="0"/>
        <v>1028.25</v>
      </c>
      <c r="E8" s="35">
        <f t="shared" si="1"/>
        <v>6471.75</v>
      </c>
    </row>
    <row r="9" spans="1:5" x14ac:dyDescent="0.35">
      <c r="A9" s="33">
        <f t="shared" si="2"/>
        <v>7</v>
      </c>
      <c r="B9" s="33">
        <f t="shared" si="3"/>
        <v>12</v>
      </c>
      <c r="C9" s="34">
        <v>7500</v>
      </c>
      <c r="D9" s="35">
        <f t="shared" si="0"/>
        <v>1028.25</v>
      </c>
      <c r="E9" s="35">
        <f t="shared" si="1"/>
        <v>6471.75</v>
      </c>
    </row>
    <row r="10" spans="1:5" x14ac:dyDescent="0.35">
      <c r="A10" s="33">
        <f t="shared" si="2"/>
        <v>8</v>
      </c>
      <c r="B10" s="33">
        <f t="shared" si="3"/>
        <v>11</v>
      </c>
      <c r="C10" s="34">
        <v>7500</v>
      </c>
      <c r="D10" s="35">
        <f t="shared" si="0"/>
        <v>1028.25</v>
      </c>
      <c r="E10" s="35">
        <f t="shared" si="1"/>
        <v>6471.75</v>
      </c>
    </row>
    <row r="11" spans="1:5" x14ac:dyDescent="0.35">
      <c r="A11" s="33">
        <f t="shared" si="2"/>
        <v>9</v>
      </c>
      <c r="B11" s="33">
        <f t="shared" si="3"/>
        <v>10</v>
      </c>
      <c r="C11" s="34">
        <v>7500</v>
      </c>
      <c r="D11" s="35">
        <f t="shared" si="0"/>
        <v>1028.25</v>
      </c>
      <c r="E11" s="35">
        <f t="shared" si="1"/>
        <v>6471.75</v>
      </c>
    </row>
    <row r="12" spans="1:5" x14ac:dyDescent="0.35">
      <c r="A12" s="33">
        <f t="shared" si="2"/>
        <v>10</v>
      </c>
      <c r="B12" s="33">
        <f t="shared" si="3"/>
        <v>9</v>
      </c>
      <c r="C12" s="34">
        <v>7500</v>
      </c>
      <c r="D12" s="35">
        <f t="shared" si="0"/>
        <v>1028.25</v>
      </c>
      <c r="E12" s="35">
        <f t="shared" si="1"/>
        <v>6471.75</v>
      </c>
    </row>
    <row r="13" spans="1:5" x14ac:dyDescent="0.35">
      <c r="A13" s="33">
        <f t="shared" si="2"/>
        <v>11</v>
      </c>
      <c r="B13" s="33">
        <f t="shared" si="3"/>
        <v>8</v>
      </c>
      <c r="C13" s="34">
        <v>7500</v>
      </c>
      <c r="D13" s="35">
        <f t="shared" si="0"/>
        <v>1028.25</v>
      </c>
      <c r="E13" s="35">
        <f t="shared" si="1"/>
        <v>6471.75</v>
      </c>
    </row>
    <row r="14" spans="1:5" x14ac:dyDescent="0.35">
      <c r="A14" s="33">
        <f t="shared" si="2"/>
        <v>12</v>
      </c>
      <c r="B14" s="33">
        <f t="shared" si="3"/>
        <v>7</v>
      </c>
      <c r="C14" s="34">
        <v>7500</v>
      </c>
      <c r="D14" s="35">
        <f t="shared" si="0"/>
        <v>1028.25</v>
      </c>
      <c r="E14" s="35">
        <f t="shared" si="1"/>
        <v>6471.75</v>
      </c>
    </row>
    <row r="15" spans="1:5" ht="15" thickBot="1" x14ac:dyDescent="0.4">
      <c r="E15" s="32">
        <f>SUM(E3:E14)</f>
        <v>77661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wynagrodzenie</vt:lpstr>
      <vt:lpstr>podstawy do wynagrodzenia</vt:lpstr>
      <vt:lpstr>procent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Chomuszko, Magdalena</cp:lastModifiedBy>
  <dcterms:created xsi:type="dcterms:W3CDTF">2017-03-16T18:24:21Z</dcterms:created>
  <dcterms:modified xsi:type="dcterms:W3CDTF">2017-09-21T18:44:24Z</dcterms:modified>
</cp:coreProperties>
</file>